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60" windowWidth="2100" windowHeight="1125" tabRatio="500"/>
  </bookViews>
  <sheets>
    <sheet name="Dados" sheetId="1" r:id="rId1"/>
    <sheet name="Custo Produto" sheetId="2" r:id="rId2"/>
    <sheet name="Rentabilidade P" sheetId="3" r:id="rId3"/>
    <sheet name="Rentabilidade I" sheetId="4" r:id="rId4"/>
  </sheets>
  <definedNames>
    <definedName name="frete">Tabela5[T]</definedName>
    <definedName name="listarentabil">Tabela1[]</definedName>
    <definedName name="mercado">Tabela6[T]</definedName>
    <definedName name="sn">Tabela3[T]</definedName>
    <definedName name="snr">Tabela4[T]</definedName>
    <definedName name="tipo_rentabilidade">Tabela1[]</definedName>
    <definedName name="tipocusto">Tabela2[T]</definedName>
    <definedName name="tiporentabil">Tabela1[T]</definedName>
  </definedNames>
  <calcPr calcId="124519"/>
  <extLst>
    <ext uri="smNativeData">
      <pm:revision xmlns:pm="smNativeData" day="1571076471" val="971" rev="124" revOS="4" revMin="124" revMax="0"/>
      <pm:docPrefs xmlns:pm="smNativeData" id="1571076471" fixedDigits="0" showNotice="1" showFrameBounds="1" autoChart="1" recalcOnPrint="1" recalcOnCopy="1" compatTextArt="1" tab="567" useDefinedPrintRange="1" printArea="currentSheet"/>
      <pm:compatibility xmlns:pm="smNativeData" id="1571076471" overlapCells="1"/>
      <pm:defCurrency xmlns:pm="smNativeData" id="1571076471"/>
    </ext>
  </extLst>
</workbook>
</file>

<file path=xl/calcChain.xml><?xml version="1.0" encoding="utf-8"?>
<calcChain xmlns="http://schemas.openxmlformats.org/spreadsheetml/2006/main">
  <c r="E45" i="1"/>
  <c r="E16" l="1"/>
  <c r="F2" i="2" s="1"/>
  <c r="B23" s="1"/>
  <c r="F31" i="4"/>
  <c r="F30"/>
  <c r="F29"/>
  <c r="F28"/>
  <c r="F27"/>
  <c r="F26"/>
  <c r="F25"/>
  <c r="D25"/>
  <c r="F24"/>
  <c r="D24"/>
  <c r="E24" s="1"/>
  <c r="F23"/>
  <c r="F22"/>
  <c r="F21"/>
  <c r="F20"/>
  <c r="D20"/>
  <c r="F19"/>
  <c r="D19"/>
  <c r="F18"/>
  <c r="D18"/>
  <c r="F15"/>
  <c r="D15"/>
  <c r="E15" s="1"/>
  <c r="C20" s="1"/>
  <c r="E20" s="1"/>
  <c r="E28" s="1"/>
  <c r="C15"/>
  <c r="F14"/>
  <c r="C14"/>
  <c r="F13"/>
  <c r="D11"/>
  <c r="D9"/>
  <c r="C9"/>
  <c r="D14" s="1"/>
  <c r="E14" s="1"/>
  <c r="C19" s="1"/>
  <c r="C8"/>
  <c r="C5"/>
  <c r="D5" s="1"/>
  <c r="C4"/>
  <c r="D4" s="1"/>
  <c r="C3"/>
  <c r="D3" s="1"/>
  <c r="C2"/>
  <c r="F35" i="3"/>
  <c r="F34"/>
  <c r="F33"/>
  <c r="F32"/>
  <c r="F31"/>
  <c r="F30"/>
  <c r="F29"/>
  <c r="F28"/>
  <c r="D28"/>
  <c r="D27"/>
  <c r="D25"/>
  <c r="D23"/>
  <c r="D21"/>
  <c r="F18"/>
  <c r="D18"/>
  <c r="F17"/>
  <c r="D17"/>
  <c r="F16"/>
  <c r="D16"/>
  <c r="F13"/>
  <c r="D13"/>
  <c r="E13" s="1"/>
  <c r="C18" s="1"/>
  <c r="E18" s="1"/>
  <c r="E31" s="1"/>
  <c r="C13"/>
  <c r="F12"/>
  <c r="C12"/>
  <c r="F11"/>
  <c r="C11"/>
  <c r="D9"/>
  <c r="F7"/>
  <c r="C6"/>
  <c r="D6" s="1"/>
  <c r="D4"/>
  <c r="C4"/>
  <c r="C3"/>
  <c r="C2"/>
  <c r="B27" s="1"/>
  <c r="C27" s="1"/>
  <c r="E32" s="1"/>
  <c r="E58" i="1"/>
  <c r="E56"/>
  <c r="E54"/>
  <c r="E52"/>
  <c r="E50"/>
  <c r="E48"/>
  <c r="E46"/>
  <c r="E44"/>
  <c r="E42"/>
  <c r="E40"/>
  <c r="E39"/>
  <c r="E38"/>
  <c r="E37"/>
  <c r="E35"/>
  <c r="E34"/>
  <c r="E33"/>
  <c r="E32"/>
  <c r="E31"/>
  <c r="E30"/>
  <c r="E29"/>
  <c r="E28"/>
  <c r="E27"/>
  <c r="E26"/>
  <c r="E24"/>
  <c r="E23"/>
  <c r="E22"/>
  <c r="E21"/>
  <c r="E20"/>
  <c r="E18"/>
  <c r="J17"/>
  <c r="E17"/>
  <c r="E15"/>
  <c r="E13"/>
  <c r="E19" i="4" l="1"/>
  <c r="D22"/>
  <c r="E22" s="1"/>
  <c r="B15" i="2"/>
  <c r="F4"/>
  <c r="C28" i="3" s="1"/>
  <c r="E28" s="1"/>
  <c r="C7"/>
  <c r="E7" s="1"/>
  <c r="B21"/>
  <c r="C21" s="1"/>
  <c r="C13" i="4"/>
  <c r="D13" s="1"/>
  <c r="E13" s="1"/>
  <c r="C18" s="1"/>
  <c r="E18" s="1"/>
  <c r="E26" s="1"/>
  <c r="D21"/>
  <c r="E21" s="1"/>
  <c r="D23"/>
  <c r="E23" s="1"/>
  <c r="D27"/>
  <c r="E27" s="1"/>
  <c r="B9" i="2"/>
  <c r="D11" i="3"/>
  <c r="E11" s="1"/>
  <c r="C16" s="1"/>
  <c r="E16" s="1"/>
  <c r="E29" s="1"/>
  <c r="D12"/>
  <c r="E12" s="1"/>
  <c r="C17" s="1"/>
  <c r="E17" s="1"/>
  <c r="B25" s="1"/>
  <c r="C25" s="1"/>
  <c r="B23"/>
  <c r="C23" s="1"/>
  <c r="D2" i="4"/>
  <c r="E30" i="3" l="1"/>
  <c r="C25" i="4"/>
  <c r="E25" s="1"/>
  <c r="J12" i="1"/>
  <c r="J18" s="1"/>
  <c r="E29" i="4"/>
  <c r="E30" s="1"/>
  <c r="E31" s="1"/>
  <c r="E35" i="3"/>
  <c r="E33"/>
  <c r="E34" s="1"/>
</calcChain>
</file>

<file path=xl/sharedStrings.xml><?xml version="1.0" encoding="utf-8"?>
<sst xmlns="http://schemas.openxmlformats.org/spreadsheetml/2006/main" count="189" uniqueCount="120">
  <si>
    <t>Regras</t>
  </si>
  <si>
    <t>Preencha apenas os campos com fundo cinza.</t>
  </si>
  <si>
    <t>Se alterar um valor que possuia uma regra a fórmula não irá funcionar corretamente.</t>
  </si>
  <si>
    <t>Caso necessite de ajuda com regras existentes, contate comigo (Robson H. Bublitz)</t>
  </si>
  <si>
    <t>Caso tenha dúvidas de onde fica determinado programa, o local no menu está na observação</t>
  </si>
  <si>
    <t>Caso tenha dúvidas de onde fica determinado campo, o local está na observação.</t>
  </si>
  <si>
    <t>Este tutorial irá tratar apenas 1 item lançado no pedido, para ser mais rápido na explicação.</t>
  </si>
  <si>
    <t>Dados e Configurações</t>
  </si>
  <si>
    <t>Programa</t>
  </si>
  <si>
    <t>Campo</t>
  </si>
  <si>
    <t>Valor</t>
  </si>
  <si>
    <t>N</t>
  </si>
  <si>
    <t>Nenhum</t>
  </si>
  <si>
    <t>Empresa</t>
  </si>
  <si>
    <t>Modelo NF</t>
  </si>
  <si>
    <t>P</t>
  </si>
  <si>
    <t>Pedido</t>
  </si>
  <si>
    <t>I</t>
  </si>
  <si>
    <t>Itens Pedido</t>
  </si>
  <si>
    <t>Configurações</t>
  </si>
  <si>
    <t>Calcular Rentabilidade Ped</t>
  </si>
  <si>
    <t>Médio</t>
  </si>
  <si>
    <t>Tipo custo</t>
  </si>
  <si>
    <t>Gerencial</t>
  </si>
  <si>
    <t>IPI Rentabilidade</t>
  </si>
  <si>
    <t>Compra</t>
  </si>
  <si>
    <t>Desc. ICMS Rentabilidade</t>
  </si>
  <si>
    <t>Mensal</t>
  </si>
  <si>
    <t>S</t>
  </si>
  <si>
    <t>Sim</t>
  </si>
  <si>
    <t>Índices Custo</t>
  </si>
  <si>
    <t xml:space="preserve">Custo Fixo
</t>
  </si>
  <si>
    <t>Não</t>
  </si>
  <si>
    <t>Encargos financeiros</t>
  </si>
  <si>
    <t>R</t>
  </si>
  <si>
    <t>Rentabilidade</t>
  </si>
  <si>
    <t>Encargos financeiros merc. ext.</t>
  </si>
  <si>
    <t>Por conta de terceiros</t>
  </si>
  <si>
    <t>Impostos Federais</t>
  </si>
  <si>
    <t>Por conta do emitente CIF</t>
  </si>
  <si>
    <t>Impostos Federais lucro líquido</t>
  </si>
  <si>
    <t>Por conta do destinatário FOB</t>
  </si>
  <si>
    <t>Próprio por conta do emitente</t>
  </si>
  <si>
    <t>Tipo de Nota</t>
  </si>
  <si>
    <t>Próprio por conta do destinatário</t>
  </si>
  <si>
    <t>Moeda</t>
  </si>
  <si>
    <t>Sem frete</t>
  </si>
  <si>
    <t>Frete</t>
  </si>
  <si>
    <t>Interno</t>
  </si>
  <si>
    <t>Cliente</t>
  </si>
  <si>
    <t>Externo Indireto</t>
  </si>
  <si>
    <t>Desconto Ped</t>
  </si>
  <si>
    <t>Externo</t>
  </si>
  <si>
    <t>Per. Descto Ped</t>
  </si>
  <si>
    <t>Comissão</t>
  </si>
  <si>
    <t>Prazo Médio</t>
  </si>
  <si>
    <t>Frete Negociado</t>
  </si>
  <si>
    <t>Local Embarque</t>
  </si>
  <si>
    <t>Item pedido</t>
  </si>
  <si>
    <t>Quantidade</t>
  </si>
  <si>
    <t>Preço Unitário</t>
  </si>
  <si>
    <t>ICMS</t>
  </si>
  <si>
    <t>IPI</t>
  </si>
  <si>
    <t>Índices</t>
  </si>
  <si>
    <t>Símbolo</t>
  </si>
  <si>
    <t>Tipo de nota</t>
  </si>
  <si>
    <t>Mercado</t>
  </si>
  <si>
    <t>Orçamento</t>
  </si>
  <si>
    <t>Libera Preço</t>
  </si>
  <si>
    <t>Vlr de Índice</t>
  </si>
  <si>
    <t>Cidade</t>
  </si>
  <si>
    <t>Descto Rapel</t>
  </si>
  <si>
    <t>Desconto</t>
  </si>
  <si>
    <t>Local Emb.</t>
  </si>
  <si>
    <t>Valor do frete M2</t>
  </si>
  <si>
    <t>Frete Mensal</t>
  </si>
  <si>
    <t>Tipo de Custo a calcular:</t>
  </si>
  <si>
    <t>Custo Médio</t>
  </si>
  <si>
    <t>Custo Gerencial</t>
  </si>
  <si>
    <t>Nível 1 ID</t>
  </si>
  <si>
    <t>C.Gerencial</t>
  </si>
  <si>
    <t>Custo Compra</t>
  </si>
  <si>
    <t>C.Compra</t>
  </si>
  <si>
    <t>Custo Mensal</t>
  </si>
  <si>
    <t>Nível 3 ID</t>
  </si>
  <si>
    <t>Nível 2 ID</t>
  </si>
  <si>
    <t>Custo Exp.</t>
  </si>
  <si>
    <t>Quantidade Item</t>
  </si>
  <si>
    <t>Preço Unitário Líq.</t>
  </si>
  <si>
    <t>Transforma  preço unitário de acordo com a moeda</t>
  </si>
  <si>
    <t>Verifica desconto rapel ou pedido</t>
  </si>
  <si>
    <t>Aplica Desconto rapel ou pedido</t>
  </si>
  <si>
    <t>Arred.</t>
  </si>
  <si>
    <t>Calcula impostos</t>
  </si>
  <si>
    <t>Imposto</t>
  </si>
  <si>
    <t>Percentual</t>
  </si>
  <si>
    <t>Valor Imposto</t>
  </si>
  <si>
    <t>Imposto Federal</t>
  </si>
  <si>
    <t>Desconta sobre os impostos os descontos</t>
  </si>
  <si>
    <t>Calcula comissão</t>
  </si>
  <si>
    <t>Calcula custo fixo</t>
  </si>
  <si>
    <t>Calcula encargos financeiros</t>
  </si>
  <si>
    <t>Calcula frete</t>
  </si>
  <si>
    <t>Total custo produto</t>
  </si>
  <si>
    <t>Total imposto federais</t>
  </si>
  <si>
    <t>Total Preço</t>
  </si>
  <si>
    <t>Total ICMS</t>
  </si>
  <si>
    <t>Total Frete</t>
  </si>
  <si>
    <t>Total Lucro Líquido</t>
  </si>
  <si>
    <t>Total Impostos Fed Lucro Líquido</t>
  </si>
  <si>
    <t>Resultado</t>
  </si>
  <si>
    <t>Custo Fixo</t>
  </si>
  <si>
    <t>Encargos Financeiros</t>
  </si>
  <si>
    <t>Impostos Federais Lucro Líquido</t>
  </si>
  <si>
    <t>Preço Unitário Líquido</t>
  </si>
  <si>
    <t>T</t>
  </si>
  <si>
    <t>Descrição</t>
  </si>
  <si>
    <t>Sim/Não</t>
  </si>
  <si>
    <t>Tipo</t>
  </si>
  <si>
    <t>U$</t>
  </si>
</sst>
</file>

<file path=xl/styles.xml><?xml version="1.0" encoding="utf-8"?>
<styleSheet xmlns="http://schemas.openxmlformats.org/spreadsheetml/2006/main">
  <fonts count="2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2" borderId="0" xfId="0" applyFill="1"/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/>
  </cellXfs>
  <cellStyles count="1">
    <cellStyle name="Normal" xfId="0" builtinId="0"/>
  </cellStyles>
  <dxfs count="31"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ont>
        <b val="0"/>
        <i val="0"/>
      </font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ill>
        <patternFill patternType="solid">
          <fgColor indexed="64"/>
          <bgColor rgb="FF92D050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/>
  <extLst>
    <ext uri="smNativeData">
      <pm:charStyles xmlns:pm="smNativeData" id="1571076471" count="1">
        <pm:charStyle name="Normal" fontId="0"/>
      </pm:charStyles>
      <pm:colors xmlns:pm="smNativeData" id="1571076471" count="3">
        <pm:color name="Cor 24" rgb="FFE0E0"/>
        <pm:color name="Cor 25" rgb="919191"/>
        <pm:color name="Cor 26" rgb="6B6B6B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a1" displayName="Tabela1" ref="H2:I5" totalsRowShown="0" headerRowDxfId="21" dataDxfId="22">
  <autoFilter ref="H2:I5"/>
  <tableColumns count="2">
    <tableColumn id="1" name="T" dataDxfId="24"/>
    <tableColumn id="2" name="Descrição" dataDxfId="23"/>
  </tableColumns>
  <tableStyleInfo name="TableStyleDark4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H7:I11" totalsRowShown="0" headerRowDxfId="17" dataDxfId="18">
  <autoFilter ref="H7:I11"/>
  <tableColumns count="2">
    <tableColumn id="1" name="T" dataDxfId="20"/>
    <tableColumn id="2" name="Descrição" dataDxfId="19"/>
  </tableColumns>
  <tableStyleInfo name="TableStyleDark4" showFirstColumn="0" showLastColumn="0" showRowStripes="1" showColumnStripes="0"/>
</table>
</file>

<file path=xl/tables/table3.xml><?xml version="1.0" encoding="utf-8"?>
<table xmlns="http://schemas.openxmlformats.org/spreadsheetml/2006/main" id="3" name="Tabela3" displayName="Tabela3" ref="H13:I15" totalsRowShown="0" headerRowDxfId="13" dataDxfId="14">
  <autoFilter ref="H13:I15"/>
  <tableColumns count="2">
    <tableColumn id="1" name="T" dataDxfId="16"/>
    <tableColumn id="2" name="Sim/Não" dataDxfId="15"/>
  </tableColumns>
  <tableStyleInfo name="TableStyleDark4" showFirstColumn="0" showLastColumn="0" showRowStripes="1" showColumnStripes="0"/>
</table>
</file>

<file path=xl/tables/table4.xml><?xml version="1.0" encoding="utf-8"?>
<table xmlns="http://schemas.openxmlformats.org/spreadsheetml/2006/main" id="4" name="Tabela4" displayName="Tabela4" ref="H17:I20" totalsRowShown="0" headerRowDxfId="9" dataDxfId="10">
  <autoFilter ref="H17:I20"/>
  <tableColumns count="2">
    <tableColumn id="1" name="T" dataDxfId="12"/>
    <tableColumn id="2" name="Tipo" dataDxfId="11"/>
  </tableColumns>
  <tableStyleInfo name="TableStyleDark4" showFirstColumn="0" showLastColumn="0" showRowStripes="1" showColumnStripes="0"/>
</table>
</file>

<file path=xl/tables/table5.xml><?xml version="1.0" encoding="utf-8"?>
<table xmlns="http://schemas.openxmlformats.org/spreadsheetml/2006/main" id="5" name="Tabela5" displayName="Tabela5" ref="H22:I28" totalsRowShown="0" headerRowDxfId="4" dataDxfId="5">
  <autoFilter ref="H22:I28"/>
  <tableColumns count="2">
    <tableColumn id="1" name="T" dataDxfId="7"/>
    <tableColumn id="2" name="Frete" dataDxfId="6"/>
  </tableColumns>
  <tableStyleInfo name="TableStyleDark4" showFirstColumn="0" showLastColumn="0" showRowStripes="1" showColumnStripes="0"/>
</table>
</file>

<file path=xl/tables/table6.xml><?xml version="1.0" encoding="utf-8"?>
<table xmlns="http://schemas.openxmlformats.org/spreadsheetml/2006/main" id="6" name="Tabela6" displayName="Tabela6" ref="H30:I33" totalsRowShown="0" headerRowDxfId="0" dataDxfId="1">
  <autoFilter ref="H30:I33"/>
  <tableColumns count="2">
    <tableColumn id="1" name="T" dataDxfId="3"/>
    <tableColumn id="2" name="Mercado" dataDxfId="2"/>
  </tableColumns>
  <tableStyleInfo name="TableStyleDark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workbookViewId="0"/>
  </sheetViews>
  <sheetFormatPr defaultColWidth="10" defaultRowHeight="14.25"/>
  <cols>
    <col min="2" max="2" width="12.75" bestFit="1" customWidth="1"/>
    <col min="3" max="3" width="27.25" bestFit="1" customWidth="1"/>
    <col min="4" max="4" width="5" bestFit="1" customWidth="1"/>
    <col min="5" max="5" width="16.375" bestFit="1" customWidth="1"/>
    <col min="8" max="8" width="3.875" customWidth="1"/>
    <col min="9" max="9" width="27.75" customWidth="1"/>
  </cols>
  <sheetData>
    <row r="1" spans="1:14" ht="7.7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1"/>
      <c r="B2" s="5" t="s">
        <v>0</v>
      </c>
      <c r="C2" s="5"/>
      <c r="D2" s="5"/>
      <c r="E2" s="5"/>
      <c r="F2" s="5"/>
      <c r="G2" s="5"/>
      <c r="H2" s="2" t="s">
        <v>115</v>
      </c>
      <c r="I2" s="2" t="s">
        <v>116</v>
      </c>
      <c r="J2" s="1"/>
      <c r="K2" s="1"/>
      <c r="L2" s="1"/>
      <c r="M2" s="1"/>
      <c r="N2" s="1"/>
    </row>
    <row r="3" spans="1:14">
      <c r="A3" s="1"/>
      <c r="B3" s="5" t="s">
        <v>1</v>
      </c>
      <c r="C3" s="5"/>
      <c r="D3" s="5"/>
      <c r="E3" s="5"/>
      <c r="F3" s="5"/>
      <c r="G3" s="5"/>
      <c r="H3" s="1" t="s">
        <v>11</v>
      </c>
      <c r="I3" s="1" t="s">
        <v>12</v>
      </c>
      <c r="J3" s="1"/>
      <c r="K3" s="1"/>
      <c r="L3" s="1"/>
      <c r="M3" s="1"/>
      <c r="N3" s="1"/>
    </row>
    <row r="4" spans="1:14">
      <c r="A4" s="1"/>
      <c r="B4" s="5" t="s">
        <v>2</v>
      </c>
      <c r="C4" s="5"/>
      <c r="D4" s="5"/>
      <c r="E4" s="5"/>
      <c r="F4" s="5"/>
      <c r="G4" s="5"/>
      <c r="H4" s="1" t="s">
        <v>15</v>
      </c>
      <c r="I4" s="1" t="s">
        <v>16</v>
      </c>
      <c r="J4" s="1"/>
      <c r="K4" s="1"/>
      <c r="L4" s="1"/>
      <c r="M4" s="1"/>
      <c r="N4" s="1"/>
    </row>
    <row r="5" spans="1:14">
      <c r="A5" s="1"/>
      <c r="B5" s="5" t="s">
        <v>3</v>
      </c>
      <c r="C5" s="5"/>
      <c r="D5" s="5"/>
      <c r="E5" s="5"/>
      <c r="F5" s="5"/>
      <c r="G5" s="5"/>
      <c r="H5" s="1" t="s">
        <v>17</v>
      </c>
      <c r="I5" s="1" t="s">
        <v>18</v>
      </c>
      <c r="J5" s="1"/>
      <c r="K5" s="1"/>
      <c r="L5" s="1"/>
      <c r="M5" s="1"/>
      <c r="N5" s="1"/>
    </row>
    <row r="6" spans="1:14">
      <c r="A6" s="1"/>
      <c r="B6" s="5" t="s">
        <v>4</v>
      </c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</row>
    <row r="7" spans="1:14">
      <c r="A7" s="1"/>
      <c r="B7" s="5" t="s">
        <v>5</v>
      </c>
      <c r="C7" s="5"/>
      <c r="D7" s="5"/>
      <c r="E7" s="5"/>
      <c r="F7" s="5"/>
      <c r="G7" s="5"/>
      <c r="H7" s="2" t="s">
        <v>115</v>
      </c>
      <c r="I7" s="2" t="s">
        <v>116</v>
      </c>
      <c r="J7" s="1"/>
      <c r="K7" s="1"/>
      <c r="L7" s="1"/>
      <c r="M7" s="1"/>
      <c r="N7" s="1"/>
    </row>
    <row r="8" spans="1:14">
      <c r="A8" s="1"/>
      <c r="B8" s="5" t="s">
        <v>6</v>
      </c>
      <c r="C8" s="5"/>
      <c r="D8" s="5"/>
      <c r="E8" s="5"/>
      <c r="F8" s="5"/>
      <c r="G8" s="5"/>
      <c r="H8" s="1">
        <v>0</v>
      </c>
      <c r="I8" s="1" t="s">
        <v>21</v>
      </c>
      <c r="J8" s="1"/>
      <c r="K8" s="1"/>
      <c r="L8" s="1"/>
      <c r="M8" s="1"/>
      <c r="N8" s="1"/>
    </row>
    <row r="9" spans="1:14">
      <c r="A9" s="1"/>
      <c r="B9" s="1"/>
      <c r="C9" s="1"/>
      <c r="D9" s="1"/>
      <c r="E9" s="1"/>
      <c r="F9" s="1"/>
      <c r="G9" s="1"/>
      <c r="H9" s="1">
        <v>1</v>
      </c>
      <c r="I9" s="1" t="s">
        <v>23</v>
      </c>
      <c r="J9" s="1"/>
      <c r="K9" s="1"/>
      <c r="L9" s="1"/>
      <c r="M9" s="1"/>
      <c r="N9" s="1"/>
    </row>
    <row r="10" spans="1:14" ht="15" thickBot="1">
      <c r="A10" s="1"/>
      <c r="B10" s="1"/>
      <c r="C10" s="1"/>
      <c r="D10" s="1"/>
      <c r="E10" s="1"/>
      <c r="F10" s="1"/>
      <c r="G10" s="1"/>
      <c r="H10" s="1">
        <v>2</v>
      </c>
      <c r="I10" s="1" t="s">
        <v>25</v>
      </c>
      <c r="J10" s="1"/>
      <c r="K10" s="1"/>
      <c r="L10" s="1"/>
      <c r="M10" s="1"/>
      <c r="N10" s="1"/>
    </row>
    <row r="11" spans="1:14" ht="15.75" thickBot="1">
      <c r="A11" s="1"/>
      <c r="B11" s="6" t="s">
        <v>7</v>
      </c>
      <c r="C11" s="7"/>
      <c r="D11" s="7"/>
      <c r="E11" s="7"/>
      <c r="F11" s="7"/>
      <c r="G11" s="8"/>
      <c r="H11" s="1">
        <v>3</v>
      </c>
      <c r="I11" s="1" t="s">
        <v>27</v>
      </c>
      <c r="J11" s="1"/>
      <c r="K11" s="1"/>
      <c r="L11" s="1"/>
      <c r="M11" s="1"/>
      <c r="N11" s="1"/>
    </row>
    <row r="12" spans="1:14">
      <c r="A12" s="1"/>
      <c r="B12" s="1" t="s">
        <v>8</v>
      </c>
      <c r="C12" s="1" t="s">
        <v>9</v>
      </c>
      <c r="D12" s="1" t="s">
        <v>10</v>
      </c>
      <c r="E12" s="1"/>
      <c r="F12" s="1"/>
      <c r="G12" s="1"/>
      <c r="H12" s="2"/>
      <c r="I12" s="2"/>
      <c r="J12" s="5" t="str">
        <f>IF(AND(D16&lt;&gt;"",'Custo Produto'!F4=0),"Informe o Custo na aba 'Custo Produto' e retorne.",IF(AND(D13&lt;&gt;"",D15&lt;&gt;"",D16&lt;&gt;"",D17&lt;&gt;"",D18&lt;&gt;"",D26&lt;&gt;"",D27&lt;&gt;"",D28&lt;&gt;"",D29&lt;&gt;"",D33&lt;&gt;"",D37&lt;&gt;"",D38&lt;&gt;"",D39&lt;&gt;"",D40&lt;&gt;"",D42&lt;&gt;"",D44&lt;&gt;"",D45&lt;&gt;""),"Cálculo disponível","Aguardando preencher todos os campos em cinza escuro..."))</f>
        <v>Informe o Custo na aba 'Custo Produto' e retorne.</v>
      </c>
      <c r="K12" s="5"/>
      <c r="L12" s="5"/>
      <c r="M12" s="5"/>
      <c r="N12" s="5"/>
    </row>
    <row r="13" spans="1:14">
      <c r="A13" s="1"/>
      <c r="B13" s="1" t="s">
        <v>13</v>
      </c>
      <c r="C13" s="1" t="s">
        <v>14</v>
      </c>
      <c r="D13" s="3">
        <v>55</v>
      </c>
      <c r="E13" s="1" t="str">
        <f>IF(D13="","",IF(AND(D13&gt;0,D13&lt;1000),"Informado","VALOR INVÁLIDO!"))</f>
        <v>Informado</v>
      </c>
      <c r="F13" s="1"/>
      <c r="G13" s="1"/>
      <c r="H13" s="2" t="s">
        <v>115</v>
      </c>
      <c r="I13" s="2" t="s">
        <v>117</v>
      </c>
      <c r="J13" s="5"/>
      <c r="K13" s="5"/>
      <c r="L13" s="5"/>
      <c r="M13" s="5"/>
      <c r="N13" s="5"/>
    </row>
    <row r="14" spans="1:14">
      <c r="A14" s="1"/>
      <c r="B14" s="1"/>
      <c r="C14" s="1"/>
      <c r="D14" s="4"/>
      <c r="E14" s="1"/>
      <c r="F14" s="1"/>
      <c r="G14" s="1"/>
      <c r="H14" s="2" t="s">
        <v>28</v>
      </c>
      <c r="I14" s="2" t="s">
        <v>29</v>
      </c>
      <c r="J14" s="5"/>
      <c r="K14" s="5"/>
      <c r="L14" s="5"/>
      <c r="M14" s="5"/>
      <c r="N14" s="5"/>
    </row>
    <row r="15" spans="1:14">
      <c r="A15" s="1"/>
      <c r="B15" s="1" t="s">
        <v>19</v>
      </c>
      <c r="C15" s="1" t="s">
        <v>20</v>
      </c>
      <c r="D15" s="3" t="s">
        <v>17</v>
      </c>
      <c r="E15" s="1" t="str">
        <f>IF($D$15=$H$3,$I$3,IF($D$15=$H$4,$I$4,IF($D$15=$H$5,$I$5,IF($D$15="","","VALOR INVÁLIDO!"))))</f>
        <v>Itens Pedido</v>
      </c>
      <c r="F15" s="1"/>
      <c r="G15" s="1"/>
      <c r="H15" s="2" t="s">
        <v>11</v>
      </c>
      <c r="I15" s="2" t="s">
        <v>32</v>
      </c>
      <c r="J15" s="5"/>
      <c r="K15" s="5"/>
      <c r="L15" s="5"/>
      <c r="M15" s="5"/>
      <c r="N15" s="5"/>
    </row>
    <row r="16" spans="1:14">
      <c r="A16" s="1"/>
      <c r="B16" s="1"/>
      <c r="C16" s="1" t="s">
        <v>22</v>
      </c>
      <c r="D16" s="3">
        <v>3</v>
      </c>
      <c r="E16" s="1" t="str">
        <f>IF(D16="","",IF(D16=H8,I8,IF(D16=H9,I9,IF(D16=H10,I10,IF(D16=H11,I11,"VALOR INVÁLIDO!")))))</f>
        <v>Mensal</v>
      </c>
      <c r="F16" s="1"/>
      <c r="G16" s="1"/>
      <c r="H16" s="2"/>
      <c r="I16" s="2"/>
      <c r="J16" s="5"/>
      <c r="K16" s="5"/>
      <c r="L16" s="5"/>
      <c r="M16" s="5"/>
      <c r="N16" s="5"/>
    </row>
    <row r="17" spans="1:14">
      <c r="A17" s="1"/>
      <c r="B17" s="1"/>
      <c r="C17" s="1" t="s">
        <v>24</v>
      </c>
      <c r="D17" s="3" t="s">
        <v>28</v>
      </c>
      <c r="E17" s="1" t="str">
        <f>IF(D17="","",IF(D17=$H$18,$I$18,IF(D17=$H$19,$I$19,"VALOR INVÁLIDO!")))</f>
        <v>Sim</v>
      </c>
      <c r="F17" s="1"/>
      <c r="G17" s="1"/>
      <c r="H17" s="2" t="s">
        <v>115</v>
      </c>
      <c r="I17" s="2" t="s">
        <v>118</v>
      </c>
      <c r="J17" s="5" t="str">
        <f>IF($D$15=$H$4,"Configurado para rentabilidade por Pedido",IF($D$15=$H$5,"Configurado para rentabilidade por item","Não configurado para cálculo de rentabilidade"))</f>
        <v>Configurado para rentabilidade por item</v>
      </c>
      <c r="K17" s="5"/>
      <c r="L17" s="5"/>
      <c r="M17" s="5"/>
      <c r="N17" s="5"/>
    </row>
    <row r="18" spans="1:14">
      <c r="A18" s="1"/>
      <c r="B18" s="1"/>
      <c r="C18" s="1" t="s">
        <v>26</v>
      </c>
      <c r="D18" s="3" t="s">
        <v>28</v>
      </c>
      <c r="E18" s="1" t="str">
        <f>IF(D18="","",IF(D18=$H$18,$I$18,IF(D18=$H$19,$I$19,"VALOR INVÁLIDO!")))</f>
        <v>Sim</v>
      </c>
      <c r="F18" s="1"/>
      <c r="G18" s="1"/>
      <c r="H18" s="1" t="s">
        <v>28</v>
      </c>
      <c r="I18" s="1" t="s">
        <v>29</v>
      </c>
      <c r="J18" s="5" t="str">
        <f>IF(AND(J12="Cálculo disponível",J17="Configurado para rentabilidade por Pedido"),"Acesse a aba Rentabilidade P",IF(AND(J12="Cálculo disponível",J17="Configurado para rentabilidade por item"),"Acesse a aba Rentabilidade I",""))</f>
        <v/>
      </c>
      <c r="K18" s="5"/>
      <c r="L18" s="5"/>
      <c r="M18" s="5"/>
      <c r="N18" s="5"/>
    </row>
    <row r="19" spans="1:14">
      <c r="A19" s="1"/>
      <c r="B19" s="1"/>
      <c r="C19" s="1"/>
      <c r="D19" s="4"/>
      <c r="E19" s="1"/>
      <c r="F19" s="1"/>
      <c r="G19" s="1"/>
      <c r="H19" s="1" t="s">
        <v>11</v>
      </c>
      <c r="I19" s="1" t="s">
        <v>32</v>
      </c>
      <c r="J19" s="1"/>
      <c r="K19" s="1"/>
      <c r="L19" s="1"/>
      <c r="M19" s="1"/>
      <c r="N19" s="1"/>
    </row>
    <row r="20" spans="1:14">
      <c r="A20" s="1"/>
      <c r="B20" s="1" t="s">
        <v>30</v>
      </c>
      <c r="C20" s="1" t="s">
        <v>31</v>
      </c>
      <c r="D20" s="3">
        <v>1</v>
      </c>
      <c r="E20" s="1" t="str">
        <f>IF(D20="","",IF(AND(D20&gt;=0,D20&lt;100),"%","VALOR INVÁLIDO!"))</f>
        <v>%</v>
      </c>
      <c r="F20" s="1"/>
      <c r="G20" s="1"/>
      <c r="H20" s="1" t="s">
        <v>34</v>
      </c>
      <c r="I20" s="1" t="s">
        <v>35</v>
      </c>
      <c r="J20" s="1"/>
      <c r="K20" s="1"/>
      <c r="L20" s="1"/>
      <c r="M20" s="1"/>
      <c r="N20" s="1"/>
    </row>
    <row r="21" spans="1:14">
      <c r="A21" s="1"/>
      <c r="B21" s="1"/>
      <c r="C21" s="1" t="s">
        <v>33</v>
      </c>
      <c r="D21" s="3">
        <v>2</v>
      </c>
      <c r="E21" s="1" t="str">
        <f>IF(D21="","",IF(AND(D21&gt;=0,D21&lt;100),"%","VALOR INVÁLIDO!"))</f>
        <v>%</v>
      </c>
      <c r="F21" s="1"/>
      <c r="G21" s="1"/>
      <c r="H21" s="2"/>
      <c r="I21" s="2"/>
      <c r="J21" s="1"/>
      <c r="K21" s="1"/>
      <c r="L21" s="1"/>
      <c r="M21" s="1"/>
      <c r="N21" s="1"/>
    </row>
    <row r="22" spans="1:14">
      <c r="A22" s="1"/>
      <c r="B22" s="1"/>
      <c r="C22" s="1" t="s">
        <v>36</v>
      </c>
      <c r="D22" s="3">
        <v>3</v>
      </c>
      <c r="E22" s="1" t="str">
        <f>IF(D22="","",IF(AND(D22&gt;=0,D22&lt;100),"%","VALOR INVÁLIDO!"))</f>
        <v>%</v>
      </c>
      <c r="F22" s="1"/>
      <c r="G22" s="1"/>
      <c r="H22" s="2" t="s">
        <v>115</v>
      </c>
      <c r="I22" s="2" t="s">
        <v>47</v>
      </c>
      <c r="J22" s="1"/>
      <c r="K22" s="1"/>
      <c r="L22" s="1"/>
      <c r="M22" s="1"/>
      <c r="N22" s="1"/>
    </row>
    <row r="23" spans="1:14">
      <c r="A23" s="1"/>
      <c r="B23" s="1"/>
      <c r="C23" s="1" t="s">
        <v>38</v>
      </c>
      <c r="D23" s="3">
        <v>4</v>
      </c>
      <c r="E23" s="1" t="str">
        <f>IF(D23="","",IF(AND(D23&gt;=0,D23&lt;100),"%","VALOR INVÁLIDO!"))</f>
        <v>%</v>
      </c>
      <c r="F23" s="1"/>
      <c r="G23" s="1"/>
      <c r="H23" s="1">
        <v>0</v>
      </c>
      <c r="I23" s="1" t="s">
        <v>37</v>
      </c>
      <c r="J23" s="1"/>
      <c r="K23" s="1"/>
      <c r="L23" s="1"/>
      <c r="M23" s="1"/>
      <c r="N23" s="1"/>
    </row>
    <row r="24" spans="1:14">
      <c r="A24" s="1"/>
      <c r="B24" s="1"/>
      <c r="C24" s="1" t="s">
        <v>40</v>
      </c>
      <c r="D24" s="3">
        <v>5</v>
      </c>
      <c r="E24" s="1" t="str">
        <f>IF(D24="","",IF(AND(D24&gt;=0,D24&lt;100),"%","VALOR INVÁLIDO!"))</f>
        <v>%</v>
      </c>
      <c r="F24" s="1"/>
      <c r="G24" s="1"/>
      <c r="H24" s="1">
        <v>1</v>
      </c>
      <c r="I24" s="1" t="s">
        <v>39</v>
      </c>
      <c r="J24" s="1"/>
      <c r="K24" s="1"/>
      <c r="L24" s="1"/>
      <c r="M24" s="1"/>
      <c r="N24" s="1"/>
    </row>
    <row r="25" spans="1:14">
      <c r="A25" s="1"/>
      <c r="B25" s="1"/>
      <c r="C25" s="1"/>
      <c r="D25" s="4"/>
      <c r="E25" s="1"/>
      <c r="F25" s="1"/>
      <c r="G25" s="1"/>
      <c r="H25" s="1">
        <v>2</v>
      </c>
      <c r="I25" s="1" t="s">
        <v>41</v>
      </c>
      <c r="J25" s="1"/>
      <c r="K25" s="1"/>
      <c r="L25" s="1"/>
      <c r="M25" s="1"/>
      <c r="N25" s="1"/>
    </row>
    <row r="26" spans="1:14">
      <c r="A26" s="1"/>
      <c r="B26" s="1" t="s">
        <v>16</v>
      </c>
      <c r="C26" s="1" t="s">
        <v>43</v>
      </c>
      <c r="D26" s="3"/>
      <c r="E26" s="1" t="str">
        <f>IF(D26="","",IF(AND(D26&gt;=0,D26&lt;1000),"Informado","VALOR INVÁLIDO!"))</f>
        <v/>
      </c>
      <c r="F26" s="1"/>
      <c r="G26" s="1"/>
      <c r="H26" s="1">
        <v>3</v>
      </c>
      <c r="I26" s="1" t="s">
        <v>42</v>
      </c>
      <c r="J26" s="1"/>
      <c r="K26" s="1"/>
      <c r="L26" s="1"/>
      <c r="M26" s="1"/>
      <c r="N26" s="1"/>
    </row>
    <row r="27" spans="1:14">
      <c r="A27" s="1"/>
      <c r="B27" s="1"/>
      <c r="C27" s="1" t="s">
        <v>45</v>
      </c>
      <c r="D27" s="3"/>
      <c r="E27" s="1" t="str">
        <f>IF(D27="","",IF(AND(D27&gt;=0,D27&lt;1000),"Informado","VALOR INVÁLIDO!"))</f>
        <v/>
      </c>
      <c r="F27" s="1"/>
      <c r="G27" s="1"/>
      <c r="H27" s="1">
        <v>4</v>
      </c>
      <c r="I27" s="1" t="s">
        <v>44</v>
      </c>
      <c r="J27" s="1"/>
      <c r="K27" s="1"/>
      <c r="L27" s="1"/>
      <c r="M27" s="1"/>
      <c r="N27" s="1"/>
    </row>
    <row r="28" spans="1:14">
      <c r="A28" s="1"/>
      <c r="B28" s="1"/>
      <c r="C28" s="1" t="s">
        <v>47</v>
      </c>
      <c r="D28" s="3">
        <v>1</v>
      </c>
      <c r="E28" s="1" t="str">
        <f>IF(D28="","",IF(D28=H23,I23,IF(D28=H24,I24,IF(D28=H25,I25,IF(D28=H26,I26,IF(D28=H27,I27,IF(D28=H28,I28,"VALOR INVÁLIDO!")))))))</f>
        <v>Por conta do emitente CIF</v>
      </c>
      <c r="F28" s="1"/>
      <c r="G28" s="1"/>
      <c r="H28" s="1">
        <v>9</v>
      </c>
      <c r="I28" s="1" t="s">
        <v>46</v>
      </c>
      <c r="J28" s="1"/>
      <c r="K28" s="1"/>
      <c r="L28" s="1"/>
      <c r="M28" s="1"/>
      <c r="N28" s="1"/>
    </row>
    <row r="29" spans="1:14">
      <c r="A29" s="1"/>
      <c r="B29" s="1"/>
      <c r="C29" s="1" t="s">
        <v>49</v>
      </c>
      <c r="D29" s="3"/>
      <c r="E29" s="1" t="str">
        <f>IF(D29="","",IF(AND(D29&gt;0,D29&lt;100000),"Informado","VALOR INVÁLIDO!"))</f>
        <v/>
      </c>
      <c r="F29" s="1"/>
      <c r="G29" s="1"/>
      <c r="H29" s="2"/>
      <c r="I29" s="2"/>
      <c r="J29" s="1"/>
      <c r="K29" s="1"/>
      <c r="L29" s="1"/>
      <c r="M29" s="1"/>
      <c r="N29" s="1"/>
    </row>
    <row r="30" spans="1:14">
      <c r="A30" s="1"/>
      <c r="B30" s="1"/>
      <c r="C30" s="1" t="s">
        <v>51</v>
      </c>
      <c r="D30" s="3">
        <v>6</v>
      </c>
      <c r="E30" s="1" t="str">
        <f>IF(D30="","",IF(AND(D30&gt;=0,D30&lt;100),"%","VALOR INVÁLIDO!"))</f>
        <v>%</v>
      </c>
      <c r="F30" s="1"/>
      <c r="G30" s="1"/>
      <c r="H30" s="2" t="s">
        <v>115</v>
      </c>
      <c r="I30" s="2" t="s">
        <v>66</v>
      </c>
      <c r="J30" s="1"/>
      <c r="K30" s="1"/>
      <c r="L30" s="1"/>
      <c r="M30" s="1"/>
      <c r="N30" s="1"/>
    </row>
    <row r="31" spans="1:14">
      <c r="A31" s="1"/>
      <c r="B31" s="1"/>
      <c r="C31" s="1" t="s">
        <v>53</v>
      </c>
      <c r="D31" s="3">
        <v>7</v>
      </c>
      <c r="E31" s="1" t="str">
        <f>IF(D31="","",IF(AND(D31&gt;=0,D31&lt;100),"%","VALOR INVÁLIDO!"))</f>
        <v>%</v>
      </c>
      <c r="F31" s="1"/>
      <c r="G31" s="1"/>
      <c r="H31" s="1">
        <v>1</v>
      </c>
      <c r="I31" s="1" t="s">
        <v>48</v>
      </c>
      <c r="J31" s="1"/>
      <c r="K31" s="1"/>
      <c r="L31" s="1"/>
      <c r="M31" s="1"/>
      <c r="N31" s="1"/>
    </row>
    <row r="32" spans="1:14">
      <c r="A32" s="1"/>
      <c r="B32" s="1"/>
      <c r="C32" s="1" t="s">
        <v>54</v>
      </c>
      <c r="D32" s="3">
        <v>8</v>
      </c>
      <c r="E32" s="1" t="str">
        <f>IF(D32="","",IF(AND(D32&gt;=0,D32&lt;10000),"%","VALOR INVÁLIDO!"))</f>
        <v>%</v>
      </c>
      <c r="F32" s="1"/>
      <c r="G32" s="1"/>
      <c r="H32" s="1">
        <v>2</v>
      </c>
      <c r="I32" s="1" t="s">
        <v>50</v>
      </c>
      <c r="J32" s="1"/>
      <c r="K32" s="1"/>
      <c r="L32" s="1"/>
      <c r="M32" s="1"/>
      <c r="N32" s="1"/>
    </row>
    <row r="33" spans="1:14">
      <c r="A33" s="1"/>
      <c r="B33" s="1"/>
      <c r="C33" s="1" t="s">
        <v>55</v>
      </c>
      <c r="D33" s="3">
        <v>30</v>
      </c>
      <c r="E33" s="1" t="str">
        <f>IF(D33="","",IF(AND(D33&gt;=0,D33&lt;100000),"Dia(s)","VALOR INVÁLIDO!"))</f>
        <v>Dia(s)</v>
      </c>
      <c r="F33" s="1"/>
      <c r="G33" s="1"/>
      <c r="H33" s="1">
        <v>3</v>
      </c>
      <c r="I33" s="1" t="s">
        <v>52</v>
      </c>
      <c r="J33" s="1"/>
      <c r="K33" s="1"/>
      <c r="L33" s="1"/>
      <c r="M33" s="1"/>
      <c r="N33" s="1"/>
    </row>
    <row r="34" spans="1:14">
      <c r="A34" s="1"/>
      <c r="B34" s="1"/>
      <c r="C34" s="1" t="s">
        <v>56</v>
      </c>
      <c r="D34" s="3">
        <v>4.4400000000000004</v>
      </c>
      <c r="E34" s="1" t="str">
        <f>IF(D34="","",IF(AND(D34&gt;=0,D34&lt;100000,$D$42&lt;&gt;""),$D$42,IF(AND(D34&gt;=0,D34&lt;100000),"Informe Índice","VALOR INVÁLIDO!")))</f>
        <v>U$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1" t="s">
        <v>57</v>
      </c>
      <c r="D35" s="3"/>
      <c r="E35" s="1" t="str">
        <f>IF(D35="","",IF(AND(D35&gt;0,D35&lt;1000),"Informado","VALOR INVÁLIDO!"))</f>
        <v/>
      </c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1"/>
      <c r="D36" s="4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 t="s">
        <v>58</v>
      </c>
      <c r="C37" s="1" t="s">
        <v>59</v>
      </c>
      <c r="D37" s="3">
        <v>10</v>
      </c>
      <c r="E37" s="1" t="str">
        <f>IF(D37="","",IF(AND(D37&gt;=0,D37&lt;10000),"Informado","VALOR INVÁLIDO!"))</f>
        <v>Informado</v>
      </c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1" t="s">
        <v>60</v>
      </c>
      <c r="D38" s="3">
        <v>1.99</v>
      </c>
      <c r="E38" s="1" t="str">
        <f>IF(D38="","",IF(AND(D38&gt;0,D38&lt;100000,$D$42&lt;&gt;""),$D$42,IF(AND(D38&gt;0,D38&lt;100000),"Informe Índice","VALOR INVÁLIDO!")))</f>
        <v>U$</v>
      </c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1" t="s">
        <v>61</v>
      </c>
      <c r="D39" s="3">
        <v>17</v>
      </c>
      <c r="E39" s="1" t="str">
        <f>IF(D39="","VALOR INVÁLIDO!",IF(AND(D39&gt;=0,D39&lt;100),"%","VALOR INVÁLIDO!"))</f>
        <v>%</v>
      </c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1" t="s">
        <v>62</v>
      </c>
      <c r="D40" s="3">
        <v>3</v>
      </c>
      <c r="E40" s="1" t="str">
        <f>IF(D40="","VALOR INVÁLIDO!",IF(AND(D40&gt;=0,D40&lt;100),"%","VALOR INVÁLIDO!"))</f>
        <v>%</v>
      </c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1"/>
      <c r="D41" s="4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 t="s">
        <v>63</v>
      </c>
      <c r="C42" s="1" t="s">
        <v>64</v>
      </c>
      <c r="D42" s="3" t="s">
        <v>119</v>
      </c>
      <c r="E42" s="1" t="str">
        <f>IF(D42="","","Informado")</f>
        <v>Informado</v>
      </c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4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 t="s">
        <v>65</v>
      </c>
      <c r="C44" s="1" t="s">
        <v>66</v>
      </c>
      <c r="D44" s="3">
        <v>1</v>
      </c>
      <c r="E44" s="1" t="str">
        <f>IF(D44="","",IF(D44=$H$31,$I$31,IF(D44=$H$32,$I$32,IF(D44=$H$33,$I$33,"VALOR INVÁLIDO!"))))</f>
        <v>Interno</v>
      </c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1" t="s">
        <v>67</v>
      </c>
      <c r="D45" s="3" t="s">
        <v>28</v>
      </c>
      <c r="E45" s="1" t="str">
        <f>IF(D45="","",IF(D45=$H$18,$I$18,IF(D45=$H$19,$I$19,"VALOR INVÁLIDO!")))</f>
        <v>Sim</v>
      </c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1" t="s">
        <v>68</v>
      </c>
      <c r="D46" s="3" t="s">
        <v>34</v>
      </c>
      <c r="E46" s="1" t="str">
        <f>IF(D46="","",IF(D46=$H$18,$I$18,IF(D46=$H$19,$I$19,IF(D46=$H$20,$I$20,"VALOR INVÁLIDO!"))))</f>
        <v>Rentabilidade</v>
      </c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1"/>
      <c r="D47" s="4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 t="s">
        <v>69</v>
      </c>
      <c r="C48" s="1" t="s">
        <v>10</v>
      </c>
      <c r="D48" s="3">
        <v>1.99</v>
      </c>
      <c r="E48" s="1" t="str">
        <f>IF(D48="","",IF(AND(D48&gt;0,D48&lt;10000),"Informado","VALOR INVÁLIDO!"))</f>
        <v>Informado</v>
      </c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1"/>
      <c r="D49" s="4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 t="s">
        <v>49</v>
      </c>
      <c r="C50" s="1" t="s">
        <v>47</v>
      </c>
      <c r="D50" s="3">
        <v>1.99</v>
      </c>
      <c r="E50" s="1" t="str">
        <f>IF(D50="","",IF(AND(D50&gt;=0,D50&lt;100),"%","VALOR INVÁLIDO!"))</f>
        <v>%</v>
      </c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1"/>
      <c r="D51" s="4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 t="s">
        <v>70</v>
      </c>
      <c r="C52" s="1" t="s">
        <v>47</v>
      </c>
      <c r="D52" s="3">
        <v>1.99</v>
      </c>
      <c r="E52" s="1" t="str">
        <f>IF(D52="","",IF(AND(D52&gt;=0,D52&lt;100),"%","VALOR INVÁLIDO!"))</f>
        <v>%</v>
      </c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1"/>
      <c r="D53" s="4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 t="s">
        <v>71</v>
      </c>
      <c r="C54" s="1" t="s">
        <v>72</v>
      </c>
      <c r="D54" s="3">
        <v>1.99</v>
      </c>
      <c r="E54" s="1" t="str">
        <f>IF(D54="","",IF(AND(D54&gt;=0,D54&lt;100),"%","VALOR INVÁLIDO!"))</f>
        <v>%</v>
      </c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1"/>
      <c r="D55" s="4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 t="s">
        <v>73</v>
      </c>
      <c r="C56" s="1" t="s">
        <v>74</v>
      </c>
      <c r="D56" s="3">
        <v>1.99</v>
      </c>
      <c r="E56" s="1" t="str">
        <f>IF(D56="","",IF(AND(D56&gt;=0,D56&lt;100000,$D$42&lt;&gt;""),$D$42,IF(AND(D56&gt;=0,D56&lt;100000),"Informe Índice","VALOR INVÁLIDO!")))</f>
        <v>U$</v>
      </c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1"/>
      <c r="D57" s="4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 t="s">
        <v>75</v>
      </c>
      <c r="C58" s="1" t="s">
        <v>47</v>
      </c>
      <c r="D58" s="3">
        <v>1.99</v>
      </c>
      <c r="E58" s="1" t="str">
        <f>IF(D58="","",IF(AND(D58&gt;=0,D58&lt;100),"%","VALOR INVÁLIDO!"))</f>
        <v>%</v>
      </c>
      <c r="F58" s="1"/>
      <c r="G58" s="1"/>
      <c r="H58" s="1"/>
      <c r="I58" s="1"/>
      <c r="J58" s="1"/>
      <c r="K58" s="1"/>
      <c r="L58" s="1"/>
      <c r="M58" s="1"/>
      <c r="N58" s="1"/>
    </row>
  </sheetData>
  <mergeCells count="11">
    <mergeCell ref="B2:G2"/>
    <mergeCell ref="B3:G3"/>
    <mergeCell ref="B4:G4"/>
    <mergeCell ref="B5:G5"/>
    <mergeCell ref="B6:G6"/>
    <mergeCell ref="J18:N18"/>
    <mergeCell ref="B7:G7"/>
    <mergeCell ref="B8:G8"/>
    <mergeCell ref="B11:G11"/>
    <mergeCell ref="J12:N16"/>
    <mergeCell ref="J17:N17"/>
  </mergeCells>
  <conditionalFormatting sqref="C22:D22">
    <cfRule type="expression" priority="1">
      <formula>$D$15="P"</formula>
    </cfRule>
  </conditionalFormatting>
  <conditionalFormatting sqref="D51 B50:C52 E50:E52 E58">
    <cfRule type="expression" priority="2">
      <formula>$D$29=""</formula>
    </cfRule>
  </conditionalFormatting>
  <conditionalFormatting sqref="B56:C56 E56">
    <cfRule type="expression" dxfId="8" priority="6">
      <formula>$D$15&lt;&gt;"I"</formula>
    </cfRule>
  </conditionalFormatting>
  <conditionalFormatting sqref="B44:C46 E44:E46">
    <cfRule type="expression" priority="8">
      <formula>$D$26=""</formula>
    </cfRule>
  </conditionalFormatting>
  <dataValidations count="10">
    <dataValidation type="list" allowBlank="1" showInputMessage="1" showErrorMessage="1" sqref="D15">
      <formula1>INDIRECT("tiporentabil")</formula1>
    </dataValidation>
    <dataValidation type="whole" allowBlank="1" showInputMessage="1" showErrorMessage="1" sqref="D13">
      <formula1>0</formula1>
      <formula2>999</formula2>
    </dataValidation>
    <dataValidation type="list" allowBlank="1" showInputMessage="1" showErrorMessage="1" sqref="D16">
      <formula1>INDIRECT("tipocusto")</formula1>
    </dataValidation>
    <dataValidation type="list" allowBlank="1" showInputMessage="1" showErrorMessage="1" sqref="D17:D18 D45">
      <formula1>INDIRECT("sn")</formula1>
    </dataValidation>
    <dataValidation type="decimal" allowBlank="1" showInputMessage="1" showErrorMessage="1" sqref="D20:D24 D30:D32 D34 D37:D40 D50 D52 D54 D58">
      <formula1>0</formula1>
      <formula2>99.99</formula2>
    </dataValidation>
    <dataValidation type="list" allowBlank="1" showInputMessage="1" showErrorMessage="1" sqref="D28">
      <formula1>INDIRECT("frete")</formula1>
    </dataValidation>
    <dataValidation type="whole" allowBlank="1" showInputMessage="1" showErrorMessage="1" sqref="D33">
      <formula1>0</formula1>
      <formula2>999999</formula2>
    </dataValidation>
    <dataValidation type="list" allowBlank="1" showInputMessage="1" showErrorMessage="1" sqref="D44">
      <formula1>INDIRECT("mercado")</formula1>
    </dataValidation>
    <dataValidation type="list" allowBlank="1" showInputMessage="1" showErrorMessage="1" sqref="D46">
      <formula1>INDIRECT("snr")</formula1>
    </dataValidation>
    <dataValidation type="decimal" allowBlank="1" showInputMessage="1" showErrorMessage="1" sqref="D48 D56">
      <formula1>0</formula1>
      <formula2>99999.99</formula2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2:I24"/>
  <sheetViews>
    <sheetView workbookViewId="0">
      <selection activeCell="B24" sqref="B24"/>
    </sheetView>
  </sheetViews>
  <sheetFormatPr defaultColWidth="10" defaultRowHeight="14.25"/>
  <cols>
    <col min="1" max="1" width="2.375" customWidth="1"/>
    <col min="2" max="2" width="10.5" bestFit="1" customWidth="1"/>
  </cols>
  <sheetData>
    <row r="2" spans="2:9">
      <c r="B2" s="9" t="s">
        <v>76</v>
      </c>
      <c r="C2" s="9"/>
      <c r="D2" s="9"/>
      <c r="E2" s="9"/>
      <c r="F2" s="9" t="str">
        <f>Dados!$E$16</f>
        <v>Mensal</v>
      </c>
      <c r="G2" s="9"/>
      <c r="H2" s="9"/>
      <c r="I2" s="9"/>
    </row>
    <row r="4" spans="2:9">
      <c r="B4" s="9" t="s">
        <v>77</v>
      </c>
      <c r="C4" s="9"/>
      <c r="F4" s="9">
        <f>IF(F2="Médio",D4,IF(AND(F2="Gerencial",Dados!D13=59),D10,IF(AND(F2="Gerencial",D8&gt;0.01,D7&gt;0),D8,IF(F2="Gerencial",D10,IF(AND(F2="Compra",D13&gt;0,D14&gt;0.01),D14,IF(F2="Compra",D16,IF(AND(F2="Mensal",Dados!D44&lt;&gt;1,D24&gt;0.01),D24,IF(AND(F2="Mensal",Dados!D44&lt;&gt;1),D22,IF(AND(F2="Mensal",OR(D19&gt;0,D20&gt;0,D21&gt;0),D22&gt;0.01),D22,0)))))))))</f>
        <v>0</v>
      </c>
      <c r="G4" s="9"/>
    </row>
    <row r="5" spans="2:9">
      <c r="F5" s="9"/>
      <c r="G5" s="9"/>
    </row>
    <row r="6" spans="2:9">
      <c r="B6" s="9" t="s">
        <v>78</v>
      </c>
      <c r="C6" s="9"/>
    </row>
    <row r="7" spans="2:9">
      <c r="B7" t="s">
        <v>79</v>
      </c>
    </row>
    <row r="8" spans="2:9">
      <c r="B8" s="9" t="s">
        <v>80</v>
      </c>
      <c r="C8" s="9"/>
    </row>
    <row r="9" spans="2:9">
      <c r="B9" s="9" t="str">
        <f>IF(AND($F$2="Gerencial",Dados!$D$13&lt;&gt;59),"OU","")</f>
        <v/>
      </c>
      <c r="C9" s="9"/>
      <c r="D9" s="9"/>
    </row>
    <row r="10" spans="2:9">
      <c r="B10" s="9" t="s">
        <v>78</v>
      </c>
      <c r="C10" s="9"/>
    </row>
    <row r="12" spans="2:9">
      <c r="B12" s="9" t="s">
        <v>81</v>
      </c>
      <c r="C12" s="9"/>
    </row>
    <row r="13" spans="2:9">
      <c r="B13" t="s">
        <v>79</v>
      </c>
    </row>
    <row r="14" spans="2:9">
      <c r="B14" t="s">
        <v>82</v>
      </c>
    </row>
    <row r="15" spans="2:9">
      <c r="B15" s="9" t="str">
        <f>IF($F$2="Compra","OU","")</f>
        <v/>
      </c>
      <c r="C15" s="9"/>
      <c r="D15" s="9"/>
    </row>
    <row r="16" spans="2:9">
      <c r="B16" s="9" t="s">
        <v>81</v>
      </c>
      <c r="C16" s="9"/>
    </row>
    <row r="18" spans="2:4">
      <c r="B18" s="9" t="s">
        <v>83</v>
      </c>
      <c r="C18" s="9"/>
    </row>
    <row r="19" spans="2:4">
      <c r="B19" t="s">
        <v>84</v>
      </c>
    </row>
    <row r="20" spans="2:4">
      <c r="B20" t="s">
        <v>85</v>
      </c>
    </row>
    <row r="21" spans="2:4">
      <c r="B21" t="s">
        <v>79</v>
      </c>
    </row>
    <row r="22" spans="2:4">
      <c r="B22" t="s">
        <v>80</v>
      </c>
    </row>
    <row r="23" spans="2:4">
      <c r="B23" s="9" t="str">
        <f>IF(AND($F$2="Mensal",Dados!D44&lt;&gt;1),"OU","")</f>
        <v/>
      </c>
      <c r="C23" s="9"/>
      <c r="D23" s="9"/>
    </row>
    <row r="24" spans="2:4">
      <c r="B24" t="s">
        <v>86</v>
      </c>
    </row>
  </sheetData>
  <mergeCells count="13">
    <mergeCell ref="B2:E2"/>
    <mergeCell ref="F2:I2"/>
    <mergeCell ref="B4:C4"/>
    <mergeCell ref="F4:G5"/>
    <mergeCell ref="B6:C6"/>
    <mergeCell ref="B16:C16"/>
    <mergeCell ref="B18:C18"/>
    <mergeCell ref="B23:D23"/>
    <mergeCell ref="B8:C8"/>
    <mergeCell ref="B9:D9"/>
    <mergeCell ref="B10:C10"/>
    <mergeCell ref="B12:C12"/>
    <mergeCell ref="B15:D15"/>
  </mergeCells>
  <conditionalFormatting sqref="D19:D22">
    <cfRule type="expression" dxfId="30" priority="1">
      <formula>AND($F$2="Mensal",Dados!$D$44=1)</formula>
    </cfRule>
  </conditionalFormatting>
  <conditionalFormatting sqref="D22 D24">
    <cfRule type="expression" dxfId="29" priority="2">
      <formula>Dados!$D$44&lt;&gt;1</formula>
    </cfRule>
  </conditionalFormatting>
  <conditionalFormatting sqref="D13:D14 D16">
    <cfRule type="expression" dxfId="28" priority="3">
      <formula>$F$2="Compra"</formula>
    </cfRule>
  </conditionalFormatting>
  <conditionalFormatting sqref="D7:D8 D10">
    <cfRule type="expression" dxfId="27" priority="4">
      <formula>AND($F$2="Gerencial",Dados!$D$13&lt;&gt;59)</formula>
    </cfRule>
  </conditionalFormatting>
  <conditionalFormatting sqref="D10">
    <cfRule type="expression" dxfId="26" priority="5">
      <formula>AND(Dados!$D$13=59,$F$2="Gerencial")</formula>
    </cfRule>
  </conditionalFormatting>
  <conditionalFormatting sqref="D4">
    <cfRule type="expression" dxfId="25" priority="6">
      <formula>$F$2="Médio"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B1:F36"/>
  <sheetViews>
    <sheetView topLeftCell="A13" workbookViewId="0">
      <selection activeCell="F35" sqref="F35:F36"/>
    </sheetView>
  </sheetViews>
  <sheetFormatPr defaultColWidth="10" defaultRowHeight="14.25"/>
  <cols>
    <col min="1" max="1" width="2.375" customWidth="1"/>
    <col min="2" max="2" width="40.75" customWidth="1"/>
    <col min="3" max="3" width="11.5" customWidth="1"/>
    <col min="4" max="4" width="14.125" customWidth="1"/>
    <col min="5" max="5" width="12.75" customWidth="1"/>
    <col min="6" max="6" width="18.125" customWidth="1"/>
    <col min="7" max="7" width="11.5" customWidth="1"/>
    <col min="8" max="8" width="14.125" customWidth="1"/>
    <col min="9" max="9" width="12.75" customWidth="1"/>
    <col min="10" max="10" width="7.25" customWidth="1"/>
  </cols>
  <sheetData>
    <row r="1" spans="2:6" ht="12.75" customHeight="1"/>
    <row r="2" spans="2:6">
      <c r="B2" t="s">
        <v>87</v>
      </c>
      <c r="C2">
        <f>Dados!$D$37</f>
        <v>10</v>
      </c>
    </row>
    <row r="3" spans="2:6">
      <c r="B3" t="s">
        <v>88</v>
      </c>
      <c r="C3">
        <f>Dados!$D$38</f>
        <v>1.99</v>
      </c>
    </row>
    <row r="4" spans="2:6">
      <c r="B4" t="s">
        <v>89</v>
      </c>
      <c r="C4">
        <f>IF(Dados!$D$48&gt;0,$C$3/Dados!$D$48,$C$3)</f>
        <v>1</v>
      </c>
      <c r="D4" t="str">
        <f>Dados!$D$42</f>
        <v>U$</v>
      </c>
    </row>
    <row r="6" spans="2:6">
      <c r="B6" t="s">
        <v>90</v>
      </c>
      <c r="C6">
        <f>IF(AND(Dados!$D$13=87,Dados!$D$31=0,Dados!$D$54&lt;&gt;0),Dados!$D$54,Dados!$D$31)</f>
        <v>7</v>
      </c>
      <c r="D6" t="str">
        <f>IF(C6="","",IF(AND(C6&gt;=0,C6&lt;100),"%","!!!"))</f>
        <v>%</v>
      </c>
    </row>
    <row r="7" spans="2:6">
      <c r="B7" t="s">
        <v>91</v>
      </c>
      <c r="C7">
        <f>($C$2*$C$4*$C$6)/100</f>
        <v>0.7</v>
      </c>
      <c r="D7" t="s">
        <v>92</v>
      </c>
      <c r="E7">
        <f>ROUND($C$7*100,0)/100</f>
        <v>0.7</v>
      </c>
      <c r="F7" t="str">
        <f>Dados!$D$42</f>
        <v>U$</v>
      </c>
    </row>
    <row r="9" spans="2:6">
      <c r="B9" t="s">
        <v>93</v>
      </c>
      <c r="D9" t="str">
        <f>IF(C9="","",IF(AND(C9&gt;=0,C9&lt;100),"%","!!!"))</f>
        <v/>
      </c>
    </row>
    <row r="10" spans="2:6">
      <c r="B10" t="s">
        <v>94</v>
      </c>
      <c r="C10" t="s">
        <v>95</v>
      </c>
      <c r="D10" t="s">
        <v>96</v>
      </c>
      <c r="E10" t="s">
        <v>92</v>
      </c>
    </row>
    <row r="11" spans="2:6">
      <c r="B11" t="s">
        <v>97</v>
      </c>
      <c r="C11">
        <f>Dados!$D$23</f>
        <v>4</v>
      </c>
      <c r="D11">
        <f>IF(Dados!$D$44=1,($C$2*$C$4*C11)/100,0)</f>
        <v>0.4</v>
      </c>
      <c r="E11">
        <f>ROUND(D11*100,0)/100</f>
        <v>0.4</v>
      </c>
      <c r="F11" t="str">
        <f>Dados!$D$42</f>
        <v>U$</v>
      </c>
    </row>
    <row r="12" spans="2:6">
      <c r="B12" t="s">
        <v>62</v>
      </c>
      <c r="C12">
        <f>Dados!$D$40</f>
        <v>3</v>
      </c>
      <c r="D12">
        <f>IF(Dados!$D$44=1,($C$2*$C$4*C12)/100,0)</f>
        <v>0.3</v>
      </c>
      <c r="E12">
        <f>ROUND(D12*100,0)/100</f>
        <v>0.3</v>
      </c>
      <c r="F12" t="str">
        <f>Dados!$D$42</f>
        <v>U$</v>
      </c>
    </row>
    <row r="13" spans="2:6">
      <c r="B13" t="s">
        <v>61</v>
      </c>
      <c r="C13">
        <f>Dados!$D$39</f>
        <v>17</v>
      </c>
      <c r="D13">
        <f>IF(AND(Dados!$D$44=1,Dados!$D$18="N"),($C$2*$C$4*C13)/100,0)</f>
        <v>0</v>
      </c>
      <c r="E13">
        <f>ROUND(D13*100,0)/100</f>
        <v>0</v>
      </c>
      <c r="F13" t="str">
        <f>Dados!$D$42</f>
        <v>U$</v>
      </c>
    </row>
    <row r="14" spans="2:6">
      <c r="B14" t="s">
        <v>98</v>
      </c>
    </row>
    <row r="15" spans="2:6">
      <c r="B15" t="s">
        <v>94</v>
      </c>
      <c r="C15" t="s">
        <v>10</v>
      </c>
      <c r="D15" t="s">
        <v>72</v>
      </c>
      <c r="E15" t="s">
        <v>96</v>
      </c>
    </row>
    <row r="16" spans="2:6">
      <c r="B16" t="s">
        <v>97</v>
      </c>
      <c r="C16">
        <f>E11</f>
        <v>0.4</v>
      </c>
      <c r="D16">
        <f>Dados!$D$30</f>
        <v>6</v>
      </c>
      <c r="E16">
        <f>C16-((C16*D16)/100)</f>
        <v>0.376</v>
      </c>
      <c r="F16" t="str">
        <f>Dados!$D$42</f>
        <v>U$</v>
      </c>
    </row>
    <row r="17" spans="2:6">
      <c r="B17" t="s">
        <v>62</v>
      </c>
      <c r="C17">
        <f>E12</f>
        <v>0.3</v>
      </c>
      <c r="D17">
        <f>Dados!$D$30</f>
        <v>6</v>
      </c>
      <c r="E17">
        <f>C17-((C17*D17)/100)</f>
        <v>0.28199999999999997</v>
      </c>
      <c r="F17" t="str">
        <f>Dados!$D$42</f>
        <v>U$</v>
      </c>
    </row>
    <row r="18" spans="2:6">
      <c r="B18" t="s">
        <v>61</v>
      </c>
      <c r="C18">
        <f>E13</f>
        <v>0</v>
      </c>
      <c r="D18">
        <f>Dados!$D$30</f>
        <v>6</v>
      </c>
      <c r="E18">
        <f>C18-((C18*D18)/100)</f>
        <v>0</v>
      </c>
      <c r="F18" t="str">
        <f>Dados!$D$42</f>
        <v>U$</v>
      </c>
    </row>
    <row r="20" spans="2:6">
      <c r="B20" t="s">
        <v>99</v>
      </c>
    </row>
    <row r="21" spans="2:6">
      <c r="B21">
        <f>(Dados!$D$32*$C$2*$C$4)/100</f>
        <v>0.8</v>
      </c>
      <c r="C21">
        <f>ROUND(B21*100,0)/100</f>
        <v>0.8</v>
      </c>
      <c r="D21" t="str">
        <f>Dados!$D$42</f>
        <v>U$</v>
      </c>
    </row>
    <row r="22" spans="2:6">
      <c r="B22" t="s">
        <v>100</v>
      </c>
    </row>
    <row r="23" spans="2:6">
      <c r="B23">
        <f>(Dados!$D$20*$C$2*$C$4)/100</f>
        <v>0.1</v>
      </c>
      <c r="C23">
        <f>ROUND(B23*100,0)/100</f>
        <v>0.1</v>
      </c>
      <c r="D23" t="str">
        <f>Dados!$D$42</f>
        <v>U$</v>
      </c>
    </row>
    <row r="24" spans="2:6">
      <c r="B24" t="s">
        <v>101</v>
      </c>
    </row>
    <row r="25" spans="2:6">
      <c r="B25">
        <f>(($C$2*$C$4)+$E$17)*(Dados!$D$21/30*Dados!$D$33)/100</f>
        <v>0.20563999999999999</v>
      </c>
      <c r="C25">
        <f>ROUND(B25*100,0)/100</f>
        <v>0.21</v>
      </c>
      <c r="D25" t="str">
        <f>Dados!$D$42</f>
        <v>U$</v>
      </c>
    </row>
    <row r="26" spans="2:6">
      <c r="B26" t="s">
        <v>102</v>
      </c>
    </row>
    <row r="27" spans="2:6">
      <c r="B27">
        <f>IF(Dados!$D$28&lt;&gt;2,IF(Dados!$D$34&gt;0,Dados!$D$34,IF(Dados!$D$50&gt;0,(Dados!$D$50*$C$2*$C$4),IF(Dados!$D$58&gt;0,(Dados!$D$58*$C$2*$C$4),(Dados!$D$52*$C$2*$C$4)))),0)/100</f>
        <v>4.4400000000000002E-2</v>
      </c>
      <c r="C27">
        <f>ROUND(B27*100,0)/100</f>
        <v>0.04</v>
      </c>
      <c r="D27" t="str">
        <f>Dados!$D$42</f>
        <v>U$</v>
      </c>
    </row>
    <row r="28" spans="2:6">
      <c r="B28" t="s">
        <v>103</v>
      </c>
      <c r="C28">
        <f>'Custo Produto'!$F$4</f>
        <v>0</v>
      </c>
      <c r="D28" t="str">
        <f>Dados!$D$42</f>
        <v>U$</v>
      </c>
      <c r="E28">
        <f>$C$2*$C$28</f>
        <v>0</v>
      </c>
      <c r="F28" t="str">
        <f>Dados!$D$42</f>
        <v>U$</v>
      </c>
    </row>
    <row r="29" spans="2:6">
      <c r="B29" t="s">
        <v>104</v>
      </c>
      <c r="E29">
        <f>$E$16</f>
        <v>0.376</v>
      </c>
      <c r="F29" t="str">
        <f>Dados!$D$42</f>
        <v>U$</v>
      </c>
    </row>
    <row r="30" spans="2:6">
      <c r="B30" t="s">
        <v>105</v>
      </c>
      <c r="E30">
        <f>IF(Dados!$D$17="S",(($C$2*$C$4)+$E$17),($C$2*$C$4))</f>
        <v>10.282</v>
      </c>
      <c r="F30" t="str">
        <f>Dados!$D$42</f>
        <v>U$</v>
      </c>
    </row>
    <row r="31" spans="2:6">
      <c r="B31" t="s">
        <v>106</v>
      </c>
      <c r="E31">
        <f>$E$18</f>
        <v>0</v>
      </c>
      <c r="F31" t="str">
        <f>Dados!$D$42</f>
        <v>U$</v>
      </c>
    </row>
    <row r="32" spans="2:6">
      <c r="B32" t="s">
        <v>107</v>
      </c>
      <c r="E32">
        <f>$C$27</f>
        <v>0.04</v>
      </c>
      <c r="F32" t="str">
        <f>Dados!$D$42</f>
        <v>U$</v>
      </c>
    </row>
    <row r="33" spans="2:6">
      <c r="B33" t="s">
        <v>108</v>
      </c>
      <c r="E33">
        <f>IF(Dados!$D$45="N",$E$30-($E$28+$E$29+$E$31+$E$7+$C$21+$E$32+$C$23+$C$25),0)</f>
        <v>0</v>
      </c>
      <c r="F33" t="str">
        <f>Dados!$D$42</f>
        <v>U$</v>
      </c>
    </row>
    <row r="34" spans="2:6">
      <c r="B34" t="s">
        <v>109</v>
      </c>
      <c r="E34">
        <f>IF($E$33&gt;0,($E$33*Dados!$D$24)/100,0)</f>
        <v>0</v>
      </c>
      <c r="F34" t="str">
        <f>Dados!$D$42</f>
        <v>U$</v>
      </c>
    </row>
    <row r="35" spans="2:6">
      <c r="B35" s="9" t="s">
        <v>110</v>
      </c>
      <c r="C35" s="9"/>
      <c r="D35" s="9"/>
      <c r="E35" s="9">
        <f>IF(Dados!$D$13=87,($E$30-($E$28+$E$29+$E$34+$E$31+$E$7+$C$21+$E$32+$C$23+$C$25))/($E$30-($E$29+$E$31+$E$7))*100,IF(Dados!$D$13=116,($E$30-($E$28+$E$29+$E$31+$C$21+$E$32+$C$23+$C$25))/($E$30)*100,($E$30-($E$28+$E$29+$E$31+$C$21+$E$32+$C$23+$C$25))/($E30-($E$29+$E$31))*100))</f>
        <v>88.390874217645859</v>
      </c>
      <c r="F35" s="9" t="str">
        <f>Dados!$D$42</f>
        <v>U$</v>
      </c>
    </row>
    <row r="36" spans="2:6">
      <c r="B36" s="9"/>
      <c r="C36" s="9"/>
      <c r="D36" s="9"/>
      <c r="E36" s="9"/>
      <c r="F36" s="9"/>
    </row>
  </sheetData>
  <mergeCells count="4">
    <mergeCell ref="B35:B36"/>
    <mergeCell ref="C35:D36"/>
    <mergeCell ref="E35:E36"/>
    <mergeCell ref="F35:F36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B2:F31"/>
  <sheetViews>
    <sheetView workbookViewId="0"/>
  </sheetViews>
  <sheetFormatPr defaultColWidth="10" defaultRowHeight="14.25"/>
  <cols>
    <col min="1" max="1" width="2.125" customWidth="1"/>
    <col min="2" max="2" width="32.125" customWidth="1"/>
    <col min="3" max="3" width="11.75" customWidth="1"/>
    <col min="4" max="4" width="14.125" customWidth="1"/>
    <col min="5" max="5" width="12.75" customWidth="1"/>
    <col min="8" max="8" width="10.75" customWidth="1"/>
    <col min="10" max="10" width="12.125" customWidth="1"/>
    <col min="11" max="11" width="20" customWidth="1"/>
  </cols>
  <sheetData>
    <row r="2" spans="2:6">
      <c r="B2" t="s">
        <v>111</v>
      </c>
      <c r="C2">
        <f>Dados!$D$20</f>
        <v>1</v>
      </c>
      <c r="D2" t="str">
        <f>IF(C2="","",IF(AND(C2&gt;=0,C2&lt;100),"%","!!!"))</f>
        <v>%</v>
      </c>
    </row>
    <row r="3" spans="2:6">
      <c r="B3" t="s">
        <v>112</v>
      </c>
      <c r="C3">
        <f>IF(AND(Dados!$D$15="I",Dados!$D$44=3),Dados!$D$22,Dados!$D$21)</f>
        <v>2</v>
      </c>
      <c r="D3" t="str">
        <f>IF(C3="","",IF(AND(C3&gt;=0,C3&lt;100),"%","!!!"))</f>
        <v>%</v>
      </c>
    </row>
    <row r="4" spans="2:6">
      <c r="B4" t="s">
        <v>38</v>
      </c>
      <c r="C4">
        <f>IF(Dados!$D$44=1,Dados!$D$23,0)</f>
        <v>4</v>
      </c>
      <c r="D4" t="str">
        <f>IF(C4="","",IF(AND(C4&gt;=0,C4&lt;100),"%","!!!"))</f>
        <v>%</v>
      </c>
    </row>
    <row r="5" spans="2:6">
      <c r="B5" t="s">
        <v>113</v>
      </c>
      <c r="C5">
        <f>IF(Dados!$D$44=1,Dados!$D$24,0)</f>
        <v>5</v>
      </c>
      <c r="D5" t="str">
        <f>IF(C5="","",IF(AND(C5&gt;=0,C5&lt;100),"%","!!!"))</f>
        <v>%</v>
      </c>
    </row>
    <row r="7" spans="2:6">
      <c r="B7" t="s">
        <v>59</v>
      </c>
      <c r="C7">
        <v>1</v>
      </c>
    </row>
    <row r="8" spans="2:6">
      <c r="B8" t="s">
        <v>114</v>
      </c>
      <c r="C8">
        <f>Dados!$D$38</f>
        <v>1.99</v>
      </c>
    </row>
    <row r="9" spans="2:6">
      <c r="B9" t="s">
        <v>89</v>
      </c>
      <c r="C9">
        <f>IF(Dados!$D$48&gt;0,$C$8/Dados!$D$48,$C$8)</f>
        <v>1</v>
      </c>
      <c r="D9" t="str">
        <f>Dados!$D$42</f>
        <v>U$</v>
      </c>
    </row>
    <row r="11" spans="2:6">
      <c r="B11" t="s">
        <v>93</v>
      </c>
      <c r="D11" t="str">
        <f>IF(C11="","",IF(AND(C11&gt;=0,C11&lt;100),"%","!!!"))</f>
        <v/>
      </c>
    </row>
    <row r="12" spans="2:6">
      <c r="B12" t="s">
        <v>94</v>
      </c>
      <c r="C12" t="s">
        <v>95</v>
      </c>
      <c r="D12" t="s">
        <v>96</v>
      </c>
      <c r="E12" t="s">
        <v>92</v>
      </c>
    </row>
    <row r="13" spans="2:6">
      <c r="B13" t="s">
        <v>97</v>
      </c>
      <c r="C13">
        <f>$C$4</f>
        <v>4</v>
      </c>
      <c r="D13">
        <f>IF(AND(Dados!$D$45&lt;&gt;"S",Dados!$D$44&lt;&gt;3),($C$7*$C$9*$C$13)/100,0)</f>
        <v>0</v>
      </c>
      <c r="E13">
        <f>ROUND(D13*100,0)/100</f>
        <v>0</v>
      </c>
      <c r="F13" t="str">
        <f>Dados!$D$42</f>
        <v>U$</v>
      </c>
    </row>
    <row r="14" spans="2:6">
      <c r="B14" t="s">
        <v>62</v>
      </c>
      <c r="C14">
        <f>Dados!$D$40</f>
        <v>3</v>
      </c>
      <c r="D14">
        <f>IF(AND(Dados!$D$45&lt;&gt;"S",Dados!$D$44&lt;&gt;3),($C$7*$C$9*$C$14)/100,0)</f>
        <v>0</v>
      </c>
      <c r="E14">
        <f>ROUND(D14*100,0)/100</f>
        <v>0</v>
      </c>
      <c r="F14" t="str">
        <f>Dados!$D$42</f>
        <v>U$</v>
      </c>
    </row>
    <row r="15" spans="2:6">
      <c r="B15" t="s">
        <v>61</v>
      </c>
      <c r="C15">
        <f>Dados!$D$39</f>
        <v>17</v>
      </c>
      <c r="D15">
        <f>IF(AND(Dados!$D$45&lt;&gt;"S",Dados!$D$44&lt;&gt;3,Dados!$D$18="N"),($C$7*$C$9*$C$15)/100,0)</f>
        <v>0</v>
      </c>
      <c r="E15">
        <f>ROUND(D15*100,0)/100</f>
        <v>0</v>
      </c>
      <c r="F15" t="str">
        <f>Dados!$D$42</f>
        <v>U$</v>
      </c>
    </row>
    <row r="16" spans="2:6">
      <c r="B16" t="s">
        <v>98</v>
      </c>
    </row>
    <row r="17" spans="2:6">
      <c r="B17" t="s">
        <v>94</v>
      </c>
      <c r="C17" t="s">
        <v>10</v>
      </c>
      <c r="D17" t="s">
        <v>72</v>
      </c>
      <c r="E17" t="s">
        <v>96</v>
      </c>
    </row>
    <row r="18" spans="2:6">
      <c r="B18" t="s">
        <v>97</v>
      </c>
      <c r="C18">
        <f>$E$13</f>
        <v>0</v>
      </c>
      <c r="D18">
        <f>Dados!$D$30</f>
        <v>6</v>
      </c>
      <c r="E18">
        <f>C18-((C18*D18)/100)</f>
        <v>0</v>
      </c>
      <c r="F18" t="str">
        <f>Dados!$D$42</f>
        <v>U$</v>
      </c>
    </row>
    <row r="19" spans="2:6">
      <c r="B19" t="s">
        <v>62</v>
      </c>
      <c r="C19">
        <f>$E$14</f>
        <v>0</v>
      </c>
      <c r="D19">
        <f>Dados!$D$30</f>
        <v>6</v>
      </c>
      <c r="E19">
        <f>C19-((C19*D19)/100)</f>
        <v>0</v>
      </c>
      <c r="F19" t="str">
        <f>Dados!$D$42</f>
        <v>U$</v>
      </c>
    </row>
    <row r="20" spans="2:6">
      <c r="B20" t="s">
        <v>61</v>
      </c>
      <c r="C20">
        <f>$E$15</f>
        <v>0</v>
      </c>
      <c r="D20">
        <f>Dados!$D$30</f>
        <v>6</v>
      </c>
      <c r="E20">
        <f>C20-((C20*D20)/100)</f>
        <v>0</v>
      </c>
      <c r="F20" t="str">
        <f>Dados!$D$42</f>
        <v>U$</v>
      </c>
    </row>
    <row r="21" spans="2:6">
      <c r="B21" t="s">
        <v>99</v>
      </c>
      <c r="D21">
        <f>Dados!$D$32*$C$7*$C$9</f>
        <v>8</v>
      </c>
      <c r="E21">
        <f>ROUND(D21*100,0)/100</f>
        <v>8</v>
      </c>
      <c r="F21" t="str">
        <f>Dados!$D$42</f>
        <v>U$</v>
      </c>
    </row>
    <row r="22" spans="2:6">
      <c r="B22" t="s">
        <v>100</v>
      </c>
      <c r="D22">
        <f>(C$2*$C$7*$C$9)/100</f>
        <v>0.01</v>
      </c>
      <c r="E22">
        <f>ROUND(D22*100,0)/100</f>
        <v>0.01</v>
      </c>
      <c r="F22" t="str">
        <f>Dados!$D$42</f>
        <v>U$</v>
      </c>
    </row>
    <row r="23" spans="2:6">
      <c r="B23" t="s">
        <v>101</v>
      </c>
      <c r="D23">
        <f>(($C$7*$C$9)+$E$19)*($C$3/30*Dados!$D$33)/100</f>
        <v>0.02</v>
      </c>
      <c r="E23">
        <f>ROUND(D23*100,0)/100</f>
        <v>0.02</v>
      </c>
      <c r="F23" t="str">
        <f>Dados!$D$42</f>
        <v>U$</v>
      </c>
    </row>
    <row r="24" spans="2:6">
      <c r="B24" t="s">
        <v>102</v>
      </c>
      <c r="D24">
        <f>IF(AND(Dados!$D$44=3,Dados!$D$35&gt;0,Dados!$D$56&gt;0),Dados!$D$56*$C$7,(IF(Dados!$D$28&lt;&gt;2,IF(Dados!$D$50&gt;0,(Dados!$D$50*$C$7*$C$9),IF(Dados!$D$58&gt;0,(Dados!$D$58*$C$7*$C$9),IF(Dados!$D$52&gt;0,(Dados!$D$52*$C$7*$C$9),0))))/100))</f>
        <v>1.9900000000000001E-2</v>
      </c>
      <c r="E24">
        <f>ROUND(D24*100,0)/100</f>
        <v>0.02</v>
      </c>
      <c r="F24" t="str">
        <f>Dados!$D$42</f>
        <v>U$</v>
      </c>
    </row>
    <row r="25" spans="2:6">
      <c r="B25" t="s">
        <v>103</v>
      </c>
      <c r="C25">
        <f>'Custo Produto'!$F$4</f>
        <v>0</v>
      </c>
      <c r="D25" t="str">
        <f>Dados!$D$42</f>
        <v>U$</v>
      </c>
      <c r="E25">
        <f>$C$7*$C$25</f>
        <v>0</v>
      </c>
      <c r="F25" t="str">
        <f>Dados!$D$42</f>
        <v>U$</v>
      </c>
    </row>
    <row r="26" spans="2:6">
      <c r="B26" t="s">
        <v>104</v>
      </c>
      <c r="E26">
        <f>$E$18</f>
        <v>0</v>
      </c>
      <c r="F26" t="str">
        <f>Dados!$D$42</f>
        <v>U$</v>
      </c>
    </row>
    <row r="27" spans="2:6">
      <c r="B27" t="s">
        <v>105</v>
      </c>
      <c r="D27">
        <f>IF(Dados!$D$17="S",($C$7*$C$9)+$E$19,$C$7*$C$9)</f>
        <v>1</v>
      </c>
      <c r="E27">
        <f>ROUND(D27*100,0)/100</f>
        <v>1</v>
      </c>
      <c r="F27" t="str">
        <f>Dados!$D$42</f>
        <v>U$</v>
      </c>
    </row>
    <row r="28" spans="2:6">
      <c r="B28" t="s">
        <v>106</v>
      </c>
      <c r="E28">
        <f>$E$20</f>
        <v>0</v>
      </c>
      <c r="F28" t="str">
        <f>Dados!$D$42</f>
        <v>U$</v>
      </c>
    </row>
    <row r="29" spans="2:6">
      <c r="B29" t="s">
        <v>108</v>
      </c>
      <c r="E29">
        <f>IF(Dados!$D$45="N",($E$27-($E$25+$E$26+$E$28+$E$21+$E$24+$E$22+$E$23)),0)</f>
        <v>0</v>
      </c>
      <c r="F29" t="str">
        <f>Dados!$D$42</f>
        <v>U$</v>
      </c>
    </row>
    <row r="30" spans="2:6">
      <c r="B30" t="s">
        <v>109</v>
      </c>
      <c r="E30">
        <f>IF($E$29&gt;0,($E$29*$C$5)/100,0)</f>
        <v>0</v>
      </c>
      <c r="F30" t="str">
        <f>Dados!$D$42</f>
        <v>U$</v>
      </c>
    </row>
    <row r="31" spans="2:6">
      <c r="B31" t="s">
        <v>110</v>
      </c>
      <c r="E31">
        <f>(($E$27-($E$25+$E$26+$E$30+$E$28+$E$21+$E$24+$E$22+$E$23))/($E$27-($E$26+$E$28))*100)</f>
        <v>-704.99999999999989</v>
      </c>
      <c r="F31" t="str">
        <f>Dados!$D$42</f>
        <v>U$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</vt:i4>
      </vt:variant>
    </vt:vector>
  </HeadingPairs>
  <TitlesOfParts>
    <vt:vector size="12" baseType="lpstr">
      <vt:lpstr>Dados</vt:lpstr>
      <vt:lpstr>Custo Produto</vt:lpstr>
      <vt:lpstr>Rentabilidade P</vt:lpstr>
      <vt:lpstr>Rentabilidade I</vt:lpstr>
      <vt:lpstr>frete</vt:lpstr>
      <vt:lpstr>listarentabil</vt:lpstr>
      <vt:lpstr>mercado</vt:lpstr>
      <vt:lpstr>sn</vt:lpstr>
      <vt:lpstr>snr</vt:lpstr>
      <vt:lpstr>tipo_rentabilidade</vt:lpstr>
      <vt:lpstr>tipocusto</vt:lpstr>
      <vt:lpstr>tiporentabil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revision>0</cp:revision>
  <dcterms:created xsi:type="dcterms:W3CDTF">2019-10-09T19:15:16Z</dcterms:created>
  <dcterms:modified xsi:type="dcterms:W3CDTF">2021-03-08T11:55:13Z</dcterms:modified>
</cp:coreProperties>
</file>